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venue" sheetId="1" r:id="rId3"/>
    <sheet state="visible" name="Income Statement" sheetId="2" r:id="rId4"/>
    <sheet state="visible" name="Balance Sheet" sheetId="3" r:id="rId5"/>
    <sheet state="visible" name="Cash Flow" sheetId="4" r:id="rId6"/>
  </sheets>
  <definedNames/>
  <calcPr/>
</workbook>
</file>

<file path=xl/sharedStrings.xml><?xml version="1.0" encoding="utf-8"?>
<sst xmlns="http://schemas.openxmlformats.org/spreadsheetml/2006/main" count="89" uniqueCount="77">
  <si>
    <t>Income Statement</t>
  </si>
  <si>
    <t>Revenue</t>
  </si>
  <si>
    <t>Balance Sheet</t>
  </si>
  <si>
    <t>For cash flow statement</t>
  </si>
  <si>
    <t>Cash</t>
  </si>
  <si>
    <t>Receivables</t>
  </si>
  <si>
    <t xml:space="preserve">   Total current assets</t>
  </si>
  <si>
    <t>Equipment</t>
  </si>
  <si>
    <t>Lemonade</t>
  </si>
  <si>
    <t>(investment less amortization</t>
  </si>
  <si>
    <t>Units</t>
  </si>
  <si>
    <t xml:space="preserve">   Total assets</t>
  </si>
  <si>
    <t>$ per unit</t>
  </si>
  <si>
    <t xml:space="preserve">   Total lemonade revenue</t>
  </si>
  <si>
    <t>Accounts payable</t>
  </si>
  <si>
    <t>Cookies</t>
  </si>
  <si>
    <t>Accrued expenses</t>
  </si>
  <si>
    <t>Current portion of long-term debt</t>
  </si>
  <si>
    <t xml:space="preserve">   Total current liabilities</t>
  </si>
  <si>
    <t>Subscription</t>
  </si>
  <si>
    <t xml:space="preserve">   Total cookie revenue</t>
  </si>
  <si>
    <t>Long-term debt</t>
  </si>
  <si>
    <t>Services</t>
  </si>
  <si>
    <t>Lemonade subscriptions</t>
  </si>
  <si>
    <t>Beginning subscriptions</t>
  </si>
  <si>
    <t>Plus: New subs addde</t>
  </si>
  <si>
    <t xml:space="preserve">   Total revenue</t>
  </si>
  <si>
    <t xml:space="preserve">   Total liabilities</t>
  </si>
  <si>
    <t>Lemons</t>
  </si>
  <si>
    <t>Less: Churned subscribers</t>
  </si>
  <si>
    <t>Retained earnings</t>
  </si>
  <si>
    <t xml:space="preserve">   Ending subscriptions</t>
  </si>
  <si>
    <t>Sugar</t>
  </si>
  <si>
    <t>Average of beg/end subs</t>
  </si>
  <si>
    <t>Paid in capital</t>
  </si>
  <si>
    <t>Cookie dough</t>
  </si>
  <si>
    <t>Labor - lemonade production</t>
  </si>
  <si>
    <t xml:space="preserve">   Total subscription revenue</t>
  </si>
  <si>
    <t xml:space="preserve">   Total stockholder equity</t>
  </si>
  <si>
    <t>Labor - consulting services</t>
  </si>
  <si>
    <t>Consulting services</t>
  </si>
  <si>
    <t>Hours billed</t>
  </si>
  <si>
    <t>$ per hour</t>
  </si>
  <si>
    <t xml:space="preserve">   Total consulting revenue</t>
  </si>
  <si>
    <t xml:space="preserve">   Total liabilities + shareholder equity</t>
  </si>
  <si>
    <t xml:space="preserve">   Total Cost of Goods Sold</t>
  </si>
  <si>
    <t xml:space="preserve">   Gross Profit</t>
  </si>
  <si>
    <t xml:space="preserve">   As % revenue</t>
  </si>
  <si>
    <t>Sales and marketing expenses</t>
  </si>
  <si>
    <t>Sales labor</t>
  </si>
  <si>
    <t>Marketing costs</t>
  </si>
  <si>
    <t xml:space="preserve">   Total sales &amp; marketing expenses</t>
  </si>
  <si>
    <t>General and admin expenses</t>
  </si>
  <si>
    <t>G&amp;A labor costs</t>
  </si>
  <si>
    <t>Rent</t>
  </si>
  <si>
    <t>Legal and accounting fees</t>
  </si>
  <si>
    <t xml:space="preserve">   Total G&amp;A expenses</t>
  </si>
  <si>
    <t>Research and development costs</t>
  </si>
  <si>
    <t>R&amp;D labor costs</t>
  </si>
  <si>
    <t>R&amp;D materials costs</t>
  </si>
  <si>
    <t xml:space="preserve">   Total R&amp;D costs</t>
  </si>
  <si>
    <t>Depreciation &amp; Amortization</t>
  </si>
  <si>
    <t>Total operating expenses</t>
  </si>
  <si>
    <t>Operating income</t>
  </si>
  <si>
    <t>Taxes</t>
  </si>
  <si>
    <t>Cash Flow Statement</t>
  </si>
  <si>
    <t>Net income</t>
  </si>
  <si>
    <t>Other expenses</t>
  </si>
  <si>
    <t>Depreciation &amp; amortization</t>
  </si>
  <si>
    <t>Cash from operations</t>
  </si>
  <si>
    <t>Cash from investments</t>
  </si>
  <si>
    <t>Debt</t>
  </si>
  <si>
    <t>Cash from financing activities</t>
  </si>
  <si>
    <t>Net change in cash</t>
  </si>
  <si>
    <t>Beginning cash</t>
  </si>
  <si>
    <t>Change in cash</t>
  </si>
  <si>
    <t>Ending cash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</si>
</sst>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&quot;-&quot;yy"/>
    <numFmt numFmtId="165" formatCode="&quot;$&quot;#,##0"/>
    <numFmt numFmtId="166" formatCode="&quot;$&quot;#,##0.00"/>
    <numFmt numFmtId="167" formatCode="0.0%"/>
  </numFmts>
  <fonts count="10">
    <font>
      <sz val="10.0"/>
      <color rgb="FF000000"/>
      <name val="Arial"/>
    </font>
    <font>
      <b/>
    </font>
    <font/>
    <font>
      <u/>
    </font>
    <font>
      <u/>
    </font>
    <font>
      <u/>
    </font>
    <font>
      <u/>
    </font>
    <font>
      <i/>
    </font>
    <font>
      <u/>
    </font>
    <font>
      <u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0" fillId="0" fontId="2" numFmtId="165" xfId="0" applyFont="1" applyNumberFormat="1"/>
    <xf borderId="0" fillId="0" fontId="3" numFmtId="3" xfId="0" applyAlignment="1" applyFont="1" applyNumberFormat="1">
      <alignment readingOrder="0"/>
    </xf>
    <xf borderId="0" fillId="0" fontId="4" numFmtId="0" xfId="0" applyFont="1"/>
    <xf borderId="0" fillId="0" fontId="2" numFmtId="3" xfId="0" applyFont="1" applyNumberFormat="1"/>
    <xf borderId="0" fillId="0" fontId="5" numFmtId="3" xfId="0" applyFont="1" applyNumberFormat="1"/>
    <xf borderId="0" fillId="0" fontId="1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5" xfId="0" applyFont="1" applyNumberFormat="1"/>
    <xf borderId="0" fillId="0" fontId="1" numFmtId="166" xfId="0" applyFont="1" applyNumberFormat="1"/>
    <xf borderId="0" fillId="0" fontId="7" numFmtId="0" xfId="0" applyFont="1"/>
    <xf borderId="0" fillId="0" fontId="7" numFmtId="167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8" numFmtId="165" xfId="0" applyAlignment="1" applyFont="1" applyNumberFormat="1">
      <alignment readingOrder="0"/>
    </xf>
    <xf borderId="0" fillId="0" fontId="9" numFmtId="165" xfId="0" applyFont="1" applyNumberFormat="1"/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4.14"/>
    <col customWidth="1" min="2" max="2" width="24.29"/>
    <col customWidth="1" min="3" max="16" width="11.29"/>
  </cols>
  <sheetData>
    <row r="2">
      <c r="A2" s="1"/>
      <c r="B2" s="4" t="s">
        <v>1</v>
      </c>
      <c r="C2" s="4">
        <v>43101.0</v>
      </c>
      <c r="D2" s="4">
        <v>43132.0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>
      <c r="B4" s="14" t="s">
        <v>8</v>
      </c>
    </row>
    <row r="5">
      <c r="B5" s="6" t="s">
        <v>10</v>
      </c>
      <c r="C5" s="16">
        <v>1000.0</v>
      </c>
      <c r="D5" s="16">
        <v>2000.0</v>
      </c>
    </row>
    <row r="6">
      <c r="B6" s="6" t="s">
        <v>12</v>
      </c>
      <c r="C6" s="17">
        <v>1.0</v>
      </c>
      <c r="D6" s="17">
        <v>1.0</v>
      </c>
    </row>
    <row r="7">
      <c r="B7" s="5" t="s">
        <v>13</v>
      </c>
      <c r="C7" s="19">
        <f t="shared" ref="C7:D7" si="1">C5*C6</f>
        <v>1000</v>
      </c>
      <c r="D7" s="19">
        <f t="shared" si="1"/>
        <v>2000</v>
      </c>
    </row>
    <row r="9">
      <c r="B9" s="14" t="s">
        <v>15</v>
      </c>
    </row>
    <row r="10">
      <c r="A10" s="11"/>
      <c r="B10" s="16" t="s">
        <v>10</v>
      </c>
      <c r="C10" s="16">
        <f t="shared" ref="C10:D10" si="2">C5/5*0.7</f>
        <v>140</v>
      </c>
      <c r="D10" s="16">
        <f t="shared" si="2"/>
        <v>280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>
      <c r="B11" s="6" t="s">
        <v>12</v>
      </c>
      <c r="C11" s="17">
        <v>1.5</v>
      </c>
      <c r="D11" s="17">
        <v>1.5</v>
      </c>
    </row>
    <row r="12">
      <c r="B12" s="6" t="s">
        <v>20</v>
      </c>
      <c r="C12" s="20">
        <f t="shared" ref="C12:D12" si="3">C10*C11</f>
        <v>210</v>
      </c>
      <c r="D12" s="20">
        <f t="shared" si="3"/>
        <v>420</v>
      </c>
    </row>
    <row r="14">
      <c r="B14" s="14" t="s">
        <v>23</v>
      </c>
    </row>
    <row r="15">
      <c r="B15" s="6" t="s">
        <v>24</v>
      </c>
      <c r="C15" s="6">
        <v>0.0</v>
      </c>
      <c r="D15" s="6">
        <f>C18</f>
        <v>10</v>
      </c>
    </row>
    <row r="16">
      <c r="B16" s="6" t="s">
        <v>25</v>
      </c>
      <c r="C16" s="6">
        <v>10.0</v>
      </c>
      <c r="D16" s="6">
        <f>C5*0.03</f>
        <v>30</v>
      </c>
    </row>
    <row r="17">
      <c r="B17" s="6" t="s">
        <v>29</v>
      </c>
      <c r="C17" s="14">
        <v>0.0</v>
      </c>
      <c r="D17" s="14">
        <v>-5.0</v>
      </c>
    </row>
    <row r="18">
      <c r="B18" s="6" t="s">
        <v>31</v>
      </c>
      <c r="C18" s="6">
        <v>10.0</v>
      </c>
      <c r="D18" s="6">
        <f>sum(D15:D17)</f>
        <v>35</v>
      </c>
    </row>
    <row r="19">
      <c r="A19" s="23"/>
      <c r="B19" s="24" t="s">
        <v>33</v>
      </c>
      <c r="C19" s="24">
        <f t="shared" ref="C19:D19" si="4">average(C18,C15)</f>
        <v>5</v>
      </c>
      <c r="D19" s="24">
        <f t="shared" si="4"/>
        <v>22.5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>
      <c r="B20" s="6" t="s">
        <v>12</v>
      </c>
      <c r="C20" s="17">
        <v>5.0</v>
      </c>
      <c r="D20" s="17">
        <v>5.0</v>
      </c>
    </row>
    <row r="21">
      <c r="B21" s="6" t="s">
        <v>37</v>
      </c>
      <c r="C21" s="20">
        <f t="shared" ref="C21:D21" si="5">C19*C20</f>
        <v>25</v>
      </c>
      <c r="D21" s="20">
        <f t="shared" si="5"/>
        <v>112.5</v>
      </c>
    </row>
    <row r="23">
      <c r="B23" s="14" t="s">
        <v>40</v>
      </c>
    </row>
    <row r="24">
      <c r="B24" s="6" t="s">
        <v>41</v>
      </c>
      <c r="C24" s="6">
        <v>1.0</v>
      </c>
      <c r="D24" s="6">
        <v>2.0</v>
      </c>
    </row>
    <row r="25">
      <c r="B25" s="6" t="s">
        <v>42</v>
      </c>
      <c r="C25" s="17">
        <v>30.0</v>
      </c>
      <c r="D25" s="17">
        <v>30.0</v>
      </c>
    </row>
    <row r="26">
      <c r="B26" s="6" t="s">
        <v>43</v>
      </c>
      <c r="C26" s="20">
        <f t="shared" ref="C26:D26" si="6">C24*C25</f>
        <v>30</v>
      </c>
      <c r="D26" s="20">
        <f t="shared" si="6"/>
        <v>60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14"/>
    <col customWidth="1" min="2" max="2" width="30.29"/>
    <col customWidth="1" min="3" max="4" width="16.14"/>
    <col customWidth="1" min="5" max="15" width="11.29"/>
  </cols>
  <sheetData>
    <row r="2">
      <c r="A2" s="1"/>
      <c r="B2" s="2" t="s">
        <v>0</v>
      </c>
      <c r="C2" s="4">
        <v>43101.0</v>
      </c>
      <c r="D2" s="4">
        <v>43132.0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>
      <c r="B4" s="6" t="s">
        <v>8</v>
      </c>
      <c r="C4" s="7">
        <f>Revenue!C7</f>
        <v>1000</v>
      </c>
      <c r="D4" s="7">
        <f>Revenue!D7</f>
        <v>2000</v>
      </c>
    </row>
    <row r="5">
      <c r="B5" s="6" t="s">
        <v>15</v>
      </c>
      <c r="C5" s="11">
        <f>Revenue!C12</f>
        <v>210</v>
      </c>
      <c r="D5" s="11">
        <f>Revenue!D12</f>
        <v>420</v>
      </c>
    </row>
    <row r="6">
      <c r="B6" s="6" t="s">
        <v>19</v>
      </c>
      <c r="C6" s="11">
        <f>Revenue!C21</f>
        <v>25</v>
      </c>
      <c r="D6" s="11">
        <f>Revenue!D21</f>
        <v>112.5</v>
      </c>
    </row>
    <row r="7">
      <c r="B7" s="6" t="s">
        <v>22</v>
      </c>
      <c r="C7" s="12">
        <f>Revenue!C26</f>
        <v>30</v>
      </c>
      <c r="D7" s="12">
        <f>Revenue!D26</f>
        <v>60</v>
      </c>
    </row>
    <row r="8">
      <c r="A8" s="13"/>
      <c r="B8" s="5" t="s">
        <v>26</v>
      </c>
      <c r="C8" s="19">
        <f t="shared" ref="C8:D8" si="1">sum(C4:C7)</f>
        <v>1265</v>
      </c>
      <c r="D8" s="19">
        <f t="shared" si="1"/>
        <v>2592.5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10">
      <c r="B10" s="6" t="s">
        <v>28</v>
      </c>
      <c r="C10" s="7">
        <f>C4*0.2</f>
        <v>200</v>
      </c>
      <c r="D10" s="7">
        <v>210.0</v>
      </c>
    </row>
    <row r="11">
      <c r="B11" s="6" t="s">
        <v>32</v>
      </c>
      <c r="C11" s="16">
        <f>C4*0.05</f>
        <v>50</v>
      </c>
      <c r="D11" s="16">
        <v>52.5</v>
      </c>
    </row>
    <row r="12">
      <c r="B12" s="6" t="s">
        <v>35</v>
      </c>
      <c r="C12" s="16">
        <f>C5*0.25</f>
        <v>52.5</v>
      </c>
      <c r="D12" s="16">
        <v>55.125</v>
      </c>
    </row>
    <row r="13">
      <c r="B13" s="6" t="s">
        <v>36</v>
      </c>
      <c r="C13" s="11">
        <f>sum(C4,C6)*0.3</f>
        <v>307.5</v>
      </c>
      <c r="D13" s="11">
        <v>330.75</v>
      </c>
    </row>
    <row r="14">
      <c r="B14" s="6" t="s">
        <v>39</v>
      </c>
      <c r="C14" s="12">
        <f>C7/2</f>
        <v>15</v>
      </c>
      <c r="D14" s="12">
        <v>15.75</v>
      </c>
    </row>
    <row r="15">
      <c r="A15" s="13"/>
      <c r="B15" s="5" t="s">
        <v>45</v>
      </c>
      <c r="C15" s="19">
        <f t="shared" ref="C15:D15" si="2">sum(C10:C14)</f>
        <v>625</v>
      </c>
      <c r="D15" s="19">
        <f t="shared" si="2"/>
        <v>664.125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7">
      <c r="A17" s="13"/>
      <c r="B17" s="5" t="s">
        <v>46</v>
      </c>
      <c r="C17" s="19">
        <f t="shared" ref="C17:D17" si="3">C8-C15</f>
        <v>640</v>
      </c>
      <c r="D17" s="19">
        <f t="shared" si="3"/>
        <v>1928.375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>
      <c r="A18" s="21"/>
      <c r="B18" s="15" t="s">
        <v>47</v>
      </c>
      <c r="C18" s="22">
        <f t="shared" ref="C18:D18" si="4">C17/C8</f>
        <v>0.5059288538</v>
      </c>
      <c r="D18" s="22">
        <f t="shared" si="4"/>
        <v>0.743828351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20">
      <c r="B20" s="14" t="s">
        <v>48</v>
      </c>
    </row>
    <row r="21">
      <c r="B21" s="6" t="s">
        <v>49</v>
      </c>
      <c r="C21">
        <f>8*20</f>
        <v>160</v>
      </c>
      <c r="D21">
        <v>175.0</v>
      </c>
    </row>
    <row r="22">
      <c r="B22" s="6" t="s">
        <v>50</v>
      </c>
      <c r="C22" s="14">
        <v>40.0</v>
      </c>
      <c r="D22" s="14">
        <v>45.0</v>
      </c>
    </row>
    <row r="23">
      <c r="A23" s="13"/>
      <c r="B23" s="5" t="s">
        <v>51</v>
      </c>
      <c r="C23" s="19">
        <f t="shared" ref="C23:D23" si="5">sum(C21:C22)</f>
        <v>200</v>
      </c>
      <c r="D23" s="19">
        <f t="shared" si="5"/>
        <v>220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5">
      <c r="B25" s="14" t="s">
        <v>52</v>
      </c>
    </row>
    <row r="26">
      <c r="B26" s="6" t="s">
        <v>53</v>
      </c>
      <c r="C26">
        <f>20*10</f>
        <v>200</v>
      </c>
      <c r="D26">
        <v>210.0</v>
      </c>
    </row>
    <row r="27">
      <c r="B27" s="6" t="s">
        <v>54</v>
      </c>
      <c r="C27" s="6">
        <v>50.0</v>
      </c>
      <c r="D27" s="6">
        <v>55.0</v>
      </c>
    </row>
    <row r="28">
      <c r="B28" s="6" t="s">
        <v>55</v>
      </c>
      <c r="C28" s="14">
        <v>25.0</v>
      </c>
      <c r="D28" s="14">
        <v>30.0</v>
      </c>
    </row>
    <row r="29">
      <c r="A29" s="13"/>
      <c r="B29" s="5" t="s">
        <v>56</v>
      </c>
      <c r="C29" s="19">
        <f t="shared" ref="C29:D29" si="6">sum(C26:C28)</f>
        <v>275</v>
      </c>
      <c r="D29" s="19">
        <f t="shared" si="6"/>
        <v>295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1">
      <c r="B31" s="14" t="s">
        <v>57</v>
      </c>
      <c r="C31" s="6"/>
      <c r="D31" s="6"/>
    </row>
    <row r="32">
      <c r="B32" s="6" t="s">
        <v>58</v>
      </c>
      <c r="C32" s="6">
        <v>50.0</v>
      </c>
      <c r="D32" s="6">
        <v>50.0</v>
      </c>
    </row>
    <row r="33">
      <c r="B33" s="6" t="s">
        <v>59</v>
      </c>
      <c r="C33" s="14">
        <v>10.0</v>
      </c>
      <c r="D33" s="14">
        <v>12.0</v>
      </c>
    </row>
    <row r="34">
      <c r="A34" s="13"/>
      <c r="B34" s="5" t="s">
        <v>60</v>
      </c>
      <c r="C34" s="19">
        <f t="shared" ref="C34:D34" si="7">sum(C32:C33)</f>
        <v>60</v>
      </c>
      <c r="D34" s="19">
        <f t="shared" si="7"/>
        <v>62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6">
      <c r="A36" s="13"/>
      <c r="B36" s="5" t="s">
        <v>61</v>
      </c>
      <c r="C36" s="19">
        <v>5.0</v>
      </c>
      <c r="D36" s="19">
        <v>5.0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8">
      <c r="A38" s="13"/>
      <c r="B38" s="5" t="s">
        <v>62</v>
      </c>
      <c r="C38" s="19">
        <f t="shared" ref="C38:D38" si="8">C23+C29+C34+C36</f>
        <v>540</v>
      </c>
      <c r="D38" s="19">
        <f t="shared" si="8"/>
        <v>582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40">
      <c r="A40" s="13"/>
      <c r="B40" s="5" t="s">
        <v>63</v>
      </c>
      <c r="C40" s="19">
        <f t="shared" ref="C40:D40" si="9">C17-C38</f>
        <v>100</v>
      </c>
      <c r="D40" s="19">
        <f t="shared" si="9"/>
        <v>1346.375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>
      <c r="A41" s="21"/>
      <c r="B41" s="15" t="s">
        <v>47</v>
      </c>
      <c r="C41" s="22">
        <f t="shared" ref="C41:D41" si="10">C40/C8</f>
        <v>0.0790513834</v>
      </c>
      <c r="D41" s="22">
        <f t="shared" si="10"/>
        <v>0.5193346191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3">
      <c r="B43" s="6" t="s">
        <v>64</v>
      </c>
      <c r="C43" s="8">
        <f t="shared" ref="C43:D43" si="11">C40*0.3</f>
        <v>30</v>
      </c>
      <c r="D43" s="8">
        <f t="shared" si="11"/>
        <v>403.9125</v>
      </c>
    </row>
    <row r="44">
      <c r="B44" s="6" t="s">
        <v>67</v>
      </c>
      <c r="C44" s="7">
        <v>5.0</v>
      </c>
      <c r="D44" s="7">
        <v>7.0</v>
      </c>
    </row>
    <row r="46">
      <c r="B46" s="5" t="s">
        <v>66</v>
      </c>
      <c r="C46" s="19">
        <f t="shared" ref="C46:D46" si="12">C40-sum(C43:C45)</f>
        <v>65</v>
      </c>
      <c r="D46" s="19">
        <f t="shared" si="12"/>
        <v>935.4625</v>
      </c>
    </row>
    <row r="47">
      <c r="B47" s="15" t="s">
        <v>47</v>
      </c>
      <c r="C47" s="22">
        <f t="shared" ref="C47:D47" si="13">C46/C8</f>
        <v>0.05138339921</v>
      </c>
      <c r="D47" s="22">
        <f t="shared" si="13"/>
        <v>0.3608341369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14"/>
    <col customWidth="1" min="2" max="2" width="31.57"/>
    <col customWidth="1" min="3" max="15" width="11.29"/>
  </cols>
  <sheetData>
    <row r="2">
      <c r="A2" s="1"/>
      <c r="B2" s="3" t="s">
        <v>2</v>
      </c>
      <c r="C2" s="4">
        <v>43101.0</v>
      </c>
      <c r="D2" s="4">
        <v>43132.0</v>
      </c>
      <c r="E2" s="1"/>
      <c r="F2" s="5" t="s">
        <v>3</v>
      </c>
      <c r="G2" s="1"/>
      <c r="H2" s="1"/>
      <c r="I2" s="1"/>
      <c r="J2" s="1"/>
      <c r="K2" s="1"/>
      <c r="L2" s="1"/>
      <c r="M2" s="1"/>
      <c r="N2" s="1"/>
      <c r="O2" s="1"/>
    </row>
    <row r="4">
      <c r="B4" s="6" t="s">
        <v>4</v>
      </c>
      <c r="C4" s="7">
        <v>500.0</v>
      </c>
      <c r="D4" s="8">
        <f>'Cash Flow'!D21</f>
        <v>1332.4625</v>
      </c>
    </row>
    <row r="5">
      <c r="B5" s="6" t="s">
        <v>5</v>
      </c>
      <c r="C5" s="9">
        <v>100.0</v>
      </c>
      <c r="D5" s="10">
        <f>C5*1.2</f>
        <v>120</v>
      </c>
      <c r="F5" s="11">
        <f>C5-D5</f>
        <v>-20</v>
      </c>
    </row>
    <row r="6">
      <c r="B6" s="6" t="s">
        <v>6</v>
      </c>
      <c r="C6" s="7">
        <f t="shared" ref="C6:D6" si="1">sum(C4:C5)</f>
        <v>600</v>
      </c>
      <c r="D6" s="7">
        <f t="shared" si="1"/>
        <v>1452.4625</v>
      </c>
    </row>
    <row r="7">
      <c r="B7" s="6"/>
      <c r="C7" s="12"/>
    </row>
    <row r="8">
      <c r="A8" s="13"/>
      <c r="B8" s="6" t="s">
        <v>7</v>
      </c>
      <c r="C8" s="7">
        <v>1000.0</v>
      </c>
      <c r="D8" s="7">
        <f>C8-'Cash Flow'!D11-'Income Statement'!D36</f>
        <v>1095</v>
      </c>
      <c r="E8" s="13"/>
      <c r="F8" s="8">
        <f>C8-D8</f>
        <v>-95</v>
      </c>
      <c r="G8" s="15" t="s">
        <v>9</v>
      </c>
      <c r="H8" s="13"/>
      <c r="I8" s="13"/>
      <c r="J8" s="13"/>
      <c r="K8" s="13"/>
      <c r="L8" s="13"/>
      <c r="M8" s="13"/>
      <c r="N8" s="13"/>
      <c r="O8" s="13"/>
    </row>
    <row r="10">
      <c r="B10" s="5" t="s">
        <v>11</v>
      </c>
      <c r="C10" s="18">
        <f t="shared" ref="C10:D10" si="2">C6+C8</f>
        <v>1600</v>
      </c>
      <c r="D10" s="18">
        <f t="shared" si="2"/>
        <v>2547.4625</v>
      </c>
    </row>
    <row r="11">
      <c r="B11" s="6"/>
      <c r="C11" s="16"/>
    </row>
    <row r="12">
      <c r="B12" s="6" t="s">
        <v>14</v>
      </c>
      <c r="C12" s="16">
        <v>50.0</v>
      </c>
      <c r="D12">
        <f t="shared" ref="D12:D13" si="3">C12*1.2</f>
        <v>60</v>
      </c>
      <c r="F12" s="11">
        <f t="shared" ref="F12:F14" si="4">D12-C12</f>
        <v>10</v>
      </c>
    </row>
    <row r="13">
      <c r="B13" s="6" t="s">
        <v>16</v>
      </c>
      <c r="C13" s="16">
        <v>25.0</v>
      </c>
      <c r="D13">
        <f t="shared" si="3"/>
        <v>30</v>
      </c>
      <c r="F13" s="11">
        <f t="shared" si="4"/>
        <v>5</v>
      </c>
    </row>
    <row r="14">
      <c r="B14" s="6" t="s">
        <v>17</v>
      </c>
      <c r="C14" s="9">
        <v>15.0</v>
      </c>
      <c r="D14" s="14">
        <v>12.0</v>
      </c>
      <c r="F14" s="11">
        <f t="shared" si="4"/>
        <v>-3</v>
      </c>
    </row>
    <row r="15">
      <c r="A15" s="13"/>
      <c r="B15" s="6" t="s">
        <v>18</v>
      </c>
      <c r="C15" s="7">
        <f t="shared" ref="C15:D15" si="5">sum(C12:C14)</f>
        <v>90</v>
      </c>
      <c r="D15" s="7">
        <f t="shared" si="5"/>
        <v>102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7">
      <c r="A17" s="13"/>
      <c r="B17" s="6" t="s">
        <v>21</v>
      </c>
      <c r="C17" s="7">
        <v>100.0</v>
      </c>
      <c r="D17" s="7">
        <v>100.0</v>
      </c>
      <c r="E17" s="13"/>
      <c r="F17" s="8">
        <f>D17-C17</f>
        <v>0</v>
      </c>
      <c r="G17" s="13"/>
      <c r="H17" s="13"/>
      <c r="I17" s="13"/>
      <c r="J17" s="13"/>
      <c r="K17" s="13"/>
      <c r="L17" s="13"/>
      <c r="M17" s="13"/>
      <c r="N17" s="13"/>
      <c r="O17" s="13"/>
    </row>
    <row r="18">
      <c r="A18" s="21"/>
      <c r="B18" s="15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>
      <c r="B19" s="6" t="s">
        <v>27</v>
      </c>
      <c r="C19" s="8">
        <f t="shared" ref="C19:D19" si="6">C15+C17</f>
        <v>190</v>
      </c>
      <c r="D19" s="8">
        <f t="shared" si="6"/>
        <v>202</v>
      </c>
    </row>
    <row r="20">
      <c r="B20" s="14"/>
    </row>
    <row r="21">
      <c r="B21" s="6" t="s">
        <v>30</v>
      </c>
      <c r="C21" s="6">
        <v>410.0</v>
      </c>
      <c r="D21" s="8">
        <f>C21+'Income Statement'!D46</f>
        <v>1345.4625</v>
      </c>
      <c r="F21" s="8">
        <f>D21-C21</f>
        <v>935.4625</v>
      </c>
    </row>
    <row r="22">
      <c r="B22" s="6" t="s">
        <v>34</v>
      </c>
      <c r="C22" s="25">
        <v>1000.0</v>
      </c>
      <c r="D22" s="26">
        <f>C22</f>
        <v>1000</v>
      </c>
    </row>
    <row r="23">
      <c r="B23" s="6" t="s">
        <v>38</v>
      </c>
      <c r="C23" s="8">
        <f t="shared" ref="C23:D23" si="7">sum(C21:C22)</f>
        <v>1410</v>
      </c>
      <c r="D23" s="8">
        <f t="shared" si="7"/>
        <v>2345.4625</v>
      </c>
    </row>
    <row r="25">
      <c r="B25" s="5" t="s">
        <v>44</v>
      </c>
      <c r="C25" s="19">
        <f t="shared" ref="C25:D25" si="8">C19+C23</f>
        <v>1600</v>
      </c>
      <c r="D25" s="19">
        <f t="shared" si="8"/>
        <v>2547.4625</v>
      </c>
    </row>
    <row r="26">
      <c r="B26" s="6"/>
    </row>
    <row r="27">
      <c r="B27" s="6"/>
      <c r="C27" s="6"/>
    </row>
    <row r="28">
      <c r="B28" s="6"/>
      <c r="C28" s="14"/>
    </row>
    <row r="29">
      <c r="B29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14"/>
    <col customWidth="1" min="2" max="2" width="30.29"/>
    <col customWidth="1" min="3" max="4" width="11.29"/>
    <col customWidth="1" min="5" max="5" width="5.14"/>
    <col customWidth="1" min="6" max="16" width="11.29"/>
  </cols>
  <sheetData>
    <row r="2">
      <c r="A2" s="1"/>
      <c r="B2" s="2" t="s">
        <v>65</v>
      </c>
      <c r="C2" s="4"/>
      <c r="D2" s="4">
        <v>43132.0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>
      <c r="B4" s="6" t="s">
        <v>66</v>
      </c>
      <c r="D4" s="8">
        <f>'Income Statement'!D46</f>
        <v>935.4625</v>
      </c>
    </row>
    <row r="5">
      <c r="B5" s="6" t="s">
        <v>68</v>
      </c>
      <c r="D5" s="11">
        <f>'Income Statement'!D36</f>
        <v>5</v>
      </c>
    </row>
    <row r="6">
      <c r="B6" s="6" t="s">
        <v>5</v>
      </c>
      <c r="D6" s="11">
        <f>'Balance Sheet'!C5-'Balance Sheet'!D5</f>
        <v>-20</v>
      </c>
    </row>
    <row r="7">
      <c r="B7" s="6" t="s">
        <v>14</v>
      </c>
      <c r="D7" s="16">
        <f>'Balance Sheet'!D12-'Balance Sheet'!C12</f>
        <v>10</v>
      </c>
    </row>
    <row r="8">
      <c r="B8" s="6" t="s">
        <v>16</v>
      </c>
      <c r="D8" s="9">
        <f>'Balance Sheet'!D13-'Balance Sheet'!C13</f>
        <v>5</v>
      </c>
    </row>
    <row r="9">
      <c r="A9" s="13"/>
      <c r="B9" s="5" t="s">
        <v>69</v>
      </c>
      <c r="C9" s="13"/>
      <c r="D9" s="19">
        <f>sum(D4:D8)</f>
        <v>935.4625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1">
      <c r="B11" s="6" t="s">
        <v>7</v>
      </c>
      <c r="D11" s="6">
        <v>-100.0</v>
      </c>
    </row>
    <row r="12">
      <c r="B12" s="5" t="s">
        <v>70</v>
      </c>
      <c r="D12" s="13">
        <f>D11</f>
        <v>-100</v>
      </c>
    </row>
    <row r="13">
      <c r="B13" s="6"/>
    </row>
    <row r="14">
      <c r="B14" s="6" t="s">
        <v>71</v>
      </c>
      <c r="D14" s="11">
        <f>'Balance Sheet'!D14-'Balance Sheet'!C14</f>
        <v>-3</v>
      </c>
    </row>
    <row r="15">
      <c r="B15" s="5" t="s">
        <v>72</v>
      </c>
      <c r="D15" s="27">
        <f>D14</f>
        <v>-3</v>
      </c>
    </row>
    <row r="17">
      <c r="B17" s="6" t="s">
        <v>73</v>
      </c>
      <c r="D17" s="8">
        <f>D9+D12+D15</f>
        <v>832.4625</v>
      </c>
    </row>
    <row r="19">
      <c r="B19" s="6" t="s">
        <v>74</v>
      </c>
      <c r="D19" s="8">
        <f>'Balance Sheet'!C4</f>
        <v>500</v>
      </c>
    </row>
    <row r="20">
      <c r="B20" s="6" t="s">
        <v>75</v>
      </c>
      <c r="D20" s="26">
        <f>D17</f>
        <v>832.4625</v>
      </c>
    </row>
    <row r="21">
      <c r="B21" s="6" t="s">
        <v>76</v>
      </c>
      <c r="D21" s="8">
        <f>D19+D20</f>
        <v>1332.4625</v>
      </c>
    </row>
  </sheetData>
  <drawing r:id="rId1"/>
</worksheet>
</file>